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0" windowWidth="19340" windowHeight="16380" tabRatio="880" firstSheet="1" activeTab="1"/>
  </bookViews>
  <sheets>
    <sheet name="1385.5 Jutras (mid)" sheetId="1" r:id="rId1"/>
    <sheet name="1381.5" sheetId="2" r:id="rId2"/>
  </sheets>
  <definedNames>
    <definedName name="_xlnm.Print_Area" localSheetId="1">'1381.5'!$A$1:$I$14</definedName>
    <definedName name="_xlnm.Print_Area" localSheetId="0">'1385.5 Jutras (mid)'!$A$1:$I$19</definedName>
  </definedNames>
  <calcPr fullCalcOnLoad="1"/>
</workbook>
</file>

<file path=xl/sharedStrings.xml><?xml version="1.0" encoding="utf-8"?>
<sst xmlns="http://schemas.openxmlformats.org/spreadsheetml/2006/main" count="45" uniqueCount="30">
  <si>
    <t>1180.5 Pukos 2007</t>
  </si>
  <si>
    <t>2011 Estimates</t>
  </si>
  <si>
    <t>Seed</t>
  </si>
  <si>
    <r>
      <t xml:space="preserve">Seed Parents </t>
    </r>
    <r>
      <rPr>
        <sz val="12"/>
        <rFont val="Lucida Grande"/>
        <family val="0"/>
      </rPr>
      <t>﻿</t>
    </r>
    <r>
      <rPr>
        <sz val="12"/>
        <rFont val="Arial"/>
        <family val="0"/>
      </rPr>
      <t xml:space="preserve">1248.0 Swarts  x  </t>
    </r>
    <r>
      <rPr>
        <sz val="12"/>
        <rFont val="Lucida Grande"/>
        <family val="0"/>
      </rPr>
      <t>﻿</t>
    </r>
    <r>
      <rPr>
        <sz val="12"/>
        <rFont val="Arial"/>
        <family val="0"/>
      </rPr>
      <t>1174.5 Swarts</t>
    </r>
  </si>
  <si>
    <t>Vegetable Garden (back)</t>
  </si>
  <si>
    <t>average of all estimates</t>
  </si>
  <si>
    <t>Completed deadheading of all sides behind the pumpkin on 7/17</t>
  </si>
  <si>
    <t>Seed Parents 1068 Wallace x 998.6 Pukos</t>
  </si>
  <si>
    <t>Pollinator</t>
  </si>
  <si>
    <t>Pollinated</t>
  </si>
  <si>
    <t>Segments</t>
  </si>
  <si>
    <t>Distance</t>
  </si>
  <si>
    <t>Day</t>
  </si>
  <si>
    <t>Date</t>
  </si>
  <si>
    <t>circumference</t>
  </si>
  <si>
    <t>side to side</t>
  </si>
  <si>
    <t>OTT</t>
  </si>
  <si>
    <t>wgt. est.</t>
  </si>
  <si>
    <t>per day avg</t>
  </si>
  <si>
    <t>Actual Weight</t>
  </si>
  <si>
    <t>total gain</t>
  </si>
  <si>
    <t>2010 Estimates</t>
  </si>
  <si>
    <t>stem to blossom</t>
  </si>
  <si>
    <t>1385.5 Jutras 2007</t>
  </si>
  <si>
    <t>Pumpkin Patch (2)</t>
  </si>
  <si>
    <t>12'</t>
  </si>
  <si>
    <t>10% heavy</t>
  </si>
  <si>
    <t>15% heavy</t>
  </si>
  <si>
    <t>avg. daily gain</t>
  </si>
  <si>
    <t>15'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</si>
</sst>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"/>
    <numFmt numFmtId="169" formatCode="0.0"/>
    <numFmt numFmtId="170" formatCode="m/d/yyyy"/>
    <numFmt numFmtId="171" formatCode="0.0%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name val="Helvetica Neue"/>
      <family val="0"/>
    </font>
    <font>
      <sz val="12"/>
      <name val="Helvetica Neue Light"/>
      <family val="0"/>
    </font>
    <font>
      <sz val="12"/>
      <color indexed="8"/>
      <name val="Helvetica Neue Light"/>
      <family val="0"/>
    </font>
    <font>
      <b/>
      <sz val="12"/>
      <name val="Helvetica Neue Light"/>
      <family val="0"/>
    </font>
    <font>
      <b/>
      <sz val="12"/>
      <color indexed="9"/>
      <name val="Helv"/>
      <family val="0"/>
    </font>
    <font>
      <sz val="9"/>
      <name val="HelveticaNeue BlackCond"/>
      <family val="0"/>
    </font>
    <font>
      <sz val="8.5"/>
      <name val="HelveticaNeue BlackCond"/>
      <family val="0"/>
    </font>
    <font>
      <sz val="18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Lucida Grande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Fill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3" xfId="0" applyFont="1" applyBorder="1" applyAlignment="1">
      <alignment horizontal="center"/>
    </xf>
    <xf numFmtId="168" fontId="10" fillId="0" borderId="3" xfId="22" applyNumberFormat="1" applyFont="1" applyFill="1" applyBorder="1" applyAlignment="1">
      <alignment horizontal="center"/>
      <protection/>
    </xf>
    <xf numFmtId="169" fontId="10" fillId="0" borderId="3" xfId="22" applyNumberFormat="1" applyFont="1" applyFill="1" applyBorder="1" applyAlignment="1">
      <alignment horizontal="center"/>
      <protection/>
    </xf>
    <xf numFmtId="1" fontId="10" fillId="0" borderId="3" xfId="22" applyNumberFormat="1" applyFont="1" applyFill="1" applyBorder="1" applyAlignment="1">
      <alignment horizontal="center"/>
      <protection/>
    </xf>
    <xf numFmtId="169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9" fontId="10" fillId="0" borderId="3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center"/>
    </xf>
    <xf numFmtId="171" fontId="9" fillId="2" borderId="9" xfId="22" applyNumberFormat="1" applyFont="1" applyFill="1" applyBorder="1" applyAlignment="1">
      <alignment horizontal="center"/>
      <protection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168" fontId="12" fillId="4" borderId="3" xfId="22" applyNumberFormat="1" applyFont="1" applyFill="1" applyBorder="1" applyAlignment="1">
      <alignment horizontal="center"/>
      <protection/>
    </xf>
    <xf numFmtId="169" fontId="12" fillId="4" borderId="3" xfId="22" applyNumberFormat="1" applyFont="1" applyFill="1" applyBorder="1" applyAlignment="1">
      <alignment horizontal="center"/>
      <protection/>
    </xf>
    <xf numFmtId="1" fontId="12" fillId="4" borderId="3" xfId="22" applyNumberFormat="1" applyFont="1" applyFill="1" applyBorder="1" applyAlignment="1">
      <alignment horizontal="center"/>
      <protection/>
    </xf>
    <xf numFmtId="169" fontId="12" fillId="4" borderId="3" xfId="0" applyNumberFormat="1" applyFont="1" applyFill="1" applyBorder="1" applyAlignment="1">
      <alignment horizontal="center"/>
    </xf>
    <xf numFmtId="1" fontId="10" fillId="5" borderId="3" xfId="22" applyNumberFormat="1" applyFont="1" applyFill="1" applyBorder="1" applyAlignment="1">
      <alignment horizontal="center"/>
      <protection/>
    </xf>
    <xf numFmtId="169" fontId="9" fillId="5" borderId="3" xfId="22" applyNumberFormat="1" applyFont="1" applyFill="1" applyBorder="1" applyAlignment="1">
      <alignment horizontal="center"/>
      <protection/>
    </xf>
    <xf numFmtId="169" fontId="9" fillId="5" borderId="8" xfId="22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14" fontId="17" fillId="0" borderId="3" xfId="0" applyNumberFormat="1" applyFont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168" fontId="18" fillId="6" borderId="3" xfId="22" applyNumberFormat="1" applyFont="1" applyFill="1" applyBorder="1" applyAlignment="1">
      <alignment horizontal="center"/>
      <protection/>
    </xf>
    <xf numFmtId="169" fontId="18" fillId="6" borderId="3" xfId="22" applyNumberFormat="1" applyFont="1" applyFill="1" applyBorder="1" applyAlignment="1">
      <alignment horizontal="center"/>
      <protection/>
    </xf>
    <xf numFmtId="1" fontId="18" fillId="6" borderId="3" xfId="22" applyNumberFormat="1" applyFont="1" applyFill="1" applyBorder="1" applyAlignment="1">
      <alignment horizontal="center"/>
      <protection/>
    </xf>
    <xf numFmtId="1" fontId="18" fillId="7" borderId="3" xfId="22" applyNumberFormat="1" applyFont="1" applyFill="1" applyBorder="1" applyAlignment="1">
      <alignment horizontal="center"/>
      <protection/>
    </xf>
    <xf numFmtId="169" fontId="18" fillId="7" borderId="3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168" fontId="19" fillId="0" borderId="3" xfId="22" applyNumberFormat="1" applyFont="1" applyFill="1" applyBorder="1" applyAlignment="1">
      <alignment horizontal="center"/>
      <protection/>
    </xf>
    <xf numFmtId="169" fontId="19" fillId="0" borderId="3" xfId="22" applyNumberFormat="1" applyFont="1" applyFill="1" applyBorder="1" applyAlignment="1">
      <alignment horizontal="center"/>
      <protection/>
    </xf>
    <xf numFmtId="1" fontId="19" fillId="0" borderId="3" xfId="22" applyNumberFormat="1" applyFont="1" applyFill="1" applyBorder="1" applyAlignment="1">
      <alignment horizontal="center"/>
      <protection/>
    </xf>
    <xf numFmtId="169" fontId="19" fillId="0" borderId="3" xfId="0" applyNumberFormat="1" applyFont="1" applyBorder="1" applyAlignment="1">
      <alignment horizontal="center"/>
    </xf>
    <xf numFmtId="169" fontId="19" fillId="0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/>
    </xf>
    <xf numFmtId="0" fontId="21" fillId="2" borderId="3" xfId="0" applyFont="1" applyFill="1" applyBorder="1" applyAlignment="1">
      <alignment horizontal="center"/>
    </xf>
    <xf numFmtId="171" fontId="17" fillId="2" borderId="3" xfId="22" applyNumberFormat="1" applyFont="1" applyFill="1" applyBorder="1" applyAlignment="1">
      <alignment horizontal="center"/>
      <protection/>
    </xf>
    <xf numFmtId="0" fontId="21" fillId="8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7" fillId="3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ayout" xfId="21"/>
    <cellStyle name="Normal_P3-9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29" sqref="F29"/>
    </sheetView>
  </sheetViews>
  <sheetFormatPr defaultColWidth="11.00390625" defaultRowHeight="12.75"/>
  <cols>
    <col min="1" max="1" width="3.875" style="2" bestFit="1" customWidth="1"/>
    <col min="2" max="2" width="8.625" style="2" bestFit="1" customWidth="1"/>
    <col min="3" max="3" width="11.375" style="2" bestFit="1" customWidth="1"/>
    <col min="4" max="4" width="9.625" style="2" bestFit="1" customWidth="1"/>
    <col min="5" max="5" width="13.375" style="2" bestFit="1" customWidth="1"/>
    <col min="6" max="6" width="5.25390625" style="2" bestFit="1" customWidth="1"/>
    <col min="7" max="7" width="7.375" style="2" bestFit="1" customWidth="1"/>
    <col min="8" max="8" width="7.875" style="2" bestFit="1" customWidth="1"/>
    <col min="9" max="9" width="9.75390625" style="2" bestFit="1" customWidth="1"/>
    <col min="10" max="10" width="9.25390625" style="1" bestFit="1" customWidth="1"/>
    <col min="11" max="11" width="11.625" style="27" bestFit="1" customWidth="1"/>
    <col min="12" max="12" width="9.25390625" style="26" customWidth="1"/>
    <col min="13" max="13" width="11.625" style="28" bestFit="1" customWidth="1"/>
    <col min="14" max="14" width="18.375" style="34" bestFit="1" customWidth="1"/>
    <col min="15" max="16384" width="10.75390625" style="2" customWidth="1"/>
  </cols>
  <sheetData>
    <row r="1" spans="1:9" ht="15.75">
      <c r="A1" s="70" t="s">
        <v>23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21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3"/>
      <c r="B3" s="4"/>
      <c r="C3" s="4"/>
      <c r="D3" s="4"/>
      <c r="E3" s="4"/>
      <c r="F3" s="4"/>
      <c r="G3" s="4"/>
      <c r="H3" s="4"/>
      <c r="I3" s="5"/>
    </row>
    <row r="4" spans="1:9" ht="15.75">
      <c r="A4" s="3"/>
      <c r="B4" s="6" t="s">
        <v>8</v>
      </c>
      <c r="C4" s="7">
        <v>1725</v>
      </c>
      <c r="D4" s="4"/>
      <c r="E4" s="71" t="s">
        <v>24</v>
      </c>
      <c r="F4" s="71"/>
      <c r="G4" s="72" t="s">
        <v>7</v>
      </c>
      <c r="H4" s="73"/>
      <c r="I4" s="74"/>
    </row>
    <row r="5" spans="1:9" ht="15.75">
      <c r="A5" s="3"/>
      <c r="B5" s="6" t="s">
        <v>9</v>
      </c>
      <c r="C5" s="8">
        <v>38899</v>
      </c>
      <c r="D5" s="4"/>
      <c r="E5" s="4"/>
      <c r="F5" s="4"/>
      <c r="G5" s="4"/>
      <c r="H5" s="4"/>
      <c r="I5" s="5"/>
    </row>
    <row r="6" spans="1:9" ht="15.75">
      <c r="A6" s="3"/>
      <c r="B6" s="6" t="s">
        <v>10</v>
      </c>
      <c r="C6" s="7">
        <v>5</v>
      </c>
      <c r="D6" s="4"/>
      <c r="E6" s="75" t="s">
        <v>6</v>
      </c>
      <c r="F6" s="76"/>
      <c r="G6" s="76"/>
      <c r="H6" s="77"/>
      <c r="I6" s="9"/>
    </row>
    <row r="7" spans="1:9" ht="15.75">
      <c r="A7" s="3"/>
      <c r="B7" s="6" t="s">
        <v>11</v>
      </c>
      <c r="C7" s="7" t="s">
        <v>25</v>
      </c>
      <c r="D7" s="4"/>
      <c r="E7" s="4"/>
      <c r="F7" s="4"/>
      <c r="G7" s="4"/>
      <c r="H7" s="4"/>
      <c r="I7" s="5"/>
    </row>
    <row r="8" spans="1:9" ht="15.75">
      <c r="A8" s="10"/>
      <c r="B8" s="11"/>
      <c r="C8" s="12"/>
      <c r="D8" s="13"/>
      <c r="E8" s="13"/>
      <c r="F8" s="13"/>
      <c r="G8" s="13"/>
      <c r="H8" s="13"/>
      <c r="I8" s="14"/>
    </row>
    <row r="9" spans="1:14" ht="15.75">
      <c r="A9" s="7" t="s">
        <v>12</v>
      </c>
      <c r="B9" s="7" t="s">
        <v>13</v>
      </c>
      <c r="C9" s="7" t="s">
        <v>14</v>
      </c>
      <c r="D9" s="7" t="s">
        <v>15</v>
      </c>
      <c r="E9" s="7" t="s">
        <v>22</v>
      </c>
      <c r="F9" s="7" t="s">
        <v>16</v>
      </c>
      <c r="G9" s="7" t="s">
        <v>17</v>
      </c>
      <c r="H9" s="7" t="s">
        <v>20</v>
      </c>
      <c r="I9" s="7" t="s">
        <v>18</v>
      </c>
      <c r="J9" s="29" t="s">
        <v>26</v>
      </c>
      <c r="K9" s="30" t="s">
        <v>28</v>
      </c>
      <c r="L9" s="30" t="s">
        <v>27</v>
      </c>
      <c r="M9" s="31" t="s">
        <v>28</v>
      </c>
      <c r="N9" s="35" t="s">
        <v>5</v>
      </c>
    </row>
    <row r="10" spans="1:9" ht="15.75">
      <c r="A10" s="36">
        <v>30</v>
      </c>
      <c r="B10" s="37">
        <f>C5+30</f>
        <v>38929</v>
      </c>
      <c r="C10" s="36">
        <v>123</v>
      </c>
      <c r="D10" s="36">
        <v>80</v>
      </c>
      <c r="E10" s="36">
        <v>76</v>
      </c>
      <c r="F10" s="38">
        <f>C10+D10+E10</f>
        <v>279</v>
      </c>
      <c r="G10" s="39">
        <f aca="true" t="shared" si="0" ref="G10:G18">IF(SUM(-9.825656+(0.26066*F10))-(0.000932949*POWER(F10,2))+(0.0000217468*POWER(F10,3))&lt;0,0,SUM(-9.825656+(0.26066*F10))-(0.000932949*POWER(F10,2))+(0.0000217468*POWER(F10,3)))</f>
        <v>462.5659526962</v>
      </c>
      <c r="H10" s="39">
        <f>IF(SUM(G10-0)&lt;0,0,SUM(G10-0))</f>
        <v>462.5659526962</v>
      </c>
      <c r="I10" s="40">
        <f>SUM(H10/30)</f>
        <v>15.418865089873332</v>
      </c>
    </row>
    <row r="11" spans="1:9" ht="15.75">
      <c r="A11" s="15">
        <f>A10+7</f>
        <v>37</v>
      </c>
      <c r="B11" s="16">
        <f>SUM(B10+7)</f>
        <v>38936</v>
      </c>
      <c r="C11" s="15">
        <v>136</v>
      </c>
      <c r="D11" s="15">
        <v>88</v>
      </c>
      <c r="E11" s="15">
        <v>84</v>
      </c>
      <c r="F11" s="17">
        <f>C11+D11+E11</f>
        <v>308</v>
      </c>
      <c r="G11" s="41">
        <f t="shared" si="0"/>
        <v>617.3547881055999</v>
      </c>
      <c r="H11" s="18">
        <f>IF(SUM(G11-G10)&lt;0,0,SUM(G11-G10))</f>
        <v>154.78883540939995</v>
      </c>
      <c r="I11" s="19">
        <f aca="true" t="shared" si="1" ref="I11:I17">SUM(H11/7)</f>
        <v>22.112690772771423</v>
      </c>
    </row>
    <row r="12" spans="1:9" ht="15.75">
      <c r="A12" s="15">
        <f aca="true" t="shared" si="2" ref="A12:A17">A11+7</f>
        <v>44</v>
      </c>
      <c r="B12" s="16">
        <f aca="true" t="shared" si="3" ref="B12:B17">SUM(B11+7)</f>
        <v>38943</v>
      </c>
      <c r="C12" s="20">
        <v>147</v>
      </c>
      <c r="D12" s="20">
        <v>95</v>
      </c>
      <c r="E12" s="20">
        <v>89</v>
      </c>
      <c r="F12" s="17">
        <f>C12+D12+E12</f>
        <v>331</v>
      </c>
      <c r="G12" s="41">
        <f t="shared" si="0"/>
        <v>762.8789608498</v>
      </c>
      <c r="H12" s="18">
        <f aca="true" t="shared" si="4" ref="H12:H18">IF(SUM(G12-G11)&lt;0,0,SUM(G12-G11))</f>
        <v>145.5241727442001</v>
      </c>
      <c r="I12" s="21">
        <f t="shared" si="1"/>
        <v>20.789167534885728</v>
      </c>
    </row>
    <row r="13" spans="1:14" ht="15.75">
      <c r="A13" s="15">
        <f t="shared" si="2"/>
        <v>51</v>
      </c>
      <c r="B13" s="16">
        <f t="shared" si="3"/>
        <v>38950</v>
      </c>
      <c r="C13" s="7">
        <v>155</v>
      </c>
      <c r="D13" s="7">
        <v>98</v>
      </c>
      <c r="E13" s="7">
        <v>93</v>
      </c>
      <c r="F13" s="17">
        <f>C13+D13+E13</f>
        <v>346</v>
      </c>
      <c r="G13" s="41">
        <f t="shared" si="0"/>
        <v>869.4639899608</v>
      </c>
      <c r="H13" s="18">
        <f t="shared" si="4"/>
        <v>106.58502911099993</v>
      </c>
      <c r="I13" s="21">
        <f t="shared" si="1"/>
        <v>15.226432730142847</v>
      </c>
      <c r="J13" s="29">
        <f aca="true" t="shared" si="5" ref="J13:J18">SUM(G13*1.1)</f>
        <v>956.4103889568801</v>
      </c>
      <c r="K13" s="32">
        <f aca="true" t="shared" si="6" ref="K13:K18">SUM(I13*1.1)</f>
        <v>16.749076003157132</v>
      </c>
      <c r="L13" s="30">
        <f aca="true" t="shared" si="7" ref="L13:L18">SUM(G13*1.15)</f>
        <v>999.8835884549198</v>
      </c>
      <c r="M13" s="33">
        <f aca="true" t="shared" si="8" ref="M13:M18">SUM(I13*1.15)</f>
        <v>17.510397639664273</v>
      </c>
      <c r="N13" s="35">
        <f aca="true" t="shared" si="9" ref="N13:N18">SUM(G13+J13+L13)/3</f>
        <v>941.9193224575333</v>
      </c>
    </row>
    <row r="14" spans="1:14" ht="15.75">
      <c r="A14" s="15">
        <f t="shared" si="2"/>
        <v>58</v>
      </c>
      <c r="B14" s="16">
        <f t="shared" si="3"/>
        <v>38957</v>
      </c>
      <c r="C14" s="7">
        <v>162</v>
      </c>
      <c r="D14" s="7">
        <v>100</v>
      </c>
      <c r="E14" s="7">
        <v>95</v>
      </c>
      <c r="F14" s="17">
        <f>C14+D14+E14</f>
        <v>357</v>
      </c>
      <c r="G14" s="41">
        <f t="shared" si="0"/>
        <v>953.7905719114001</v>
      </c>
      <c r="H14" s="18">
        <f t="shared" si="4"/>
        <v>84.32658195060014</v>
      </c>
      <c r="I14" s="21">
        <f t="shared" si="1"/>
        <v>12.04665456437145</v>
      </c>
      <c r="J14" s="29">
        <f t="shared" si="5"/>
        <v>1049.1696291025403</v>
      </c>
      <c r="K14" s="32">
        <f t="shared" si="6"/>
        <v>13.251320020808596</v>
      </c>
      <c r="L14" s="30">
        <f t="shared" si="7"/>
        <v>1096.85915769811</v>
      </c>
      <c r="M14" s="33">
        <f t="shared" si="8"/>
        <v>13.853652749027166</v>
      </c>
      <c r="N14" s="35">
        <f t="shared" si="9"/>
        <v>1033.2731195706835</v>
      </c>
    </row>
    <row r="15" spans="1:14" ht="15.75">
      <c r="A15" s="15">
        <f>A14+13</f>
        <v>71</v>
      </c>
      <c r="B15" s="16">
        <f>SUM(B14+13)</f>
        <v>38970</v>
      </c>
      <c r="C15" s="20">
        <v>166.5</v>
      </c>
      <c r="D15" s="20">
        <v>102</v>
      </c>
      <c r="E15" s="20">
        <v>98.5</v>
      </c>
      <c r="F15" s="17">
        <f>C15+D15+E15</f>
        <v>367</v>
      </c>
      <c r="G15" s="41">
        <f t="shared" si="0"/>
        <v>1035.1416876274002</v>
      </c>
      <c r="H15" s="18">
        <f t="shared" si="4"/>
        <v>81.3511157160001</v>
      </c>
      <c r="I15" s="21">
        <f>SUM(H15/13)</f>
        <v>6.257778132000007</v>
      </c>
      <c r="J15" s="29">
        <f t="shared" si="5"/>
        <v>1138.6558563901403</v>
      </c>
      <c r="K15" s="32">
        <f t="shared" si="6"/>
        <v>6.883555945200008</v>
      </c>
      <c r="L15" s="30">
        <f t="shared" si="7"/>
        <v>1190.4129407715102</v>
      </c>
      <c r="M15" s="33">
        <f t="shared" si="8"/>
        <v>7.196444851800008</v>
      </c>
      <c r="N15" s="35">
        <f t="shared" si="9"/>
        <v>1121.4034949296836</v>
      </c>
    </row>
    <row r="16" spans="1:14" ht="15.75">
      <c r="A16" s="15">
        <f>A15+8</f>
        <v>79</v>
      </c>
      <c r="B16" s="16">
        <f>SUM(B15+8)</f>
        <v>38978</v>
      </c>
      <c r="C16" s="7">
        <v>169</v>
      </c>
      <c r="D16" s="7">
        <v>102</v>
      </c>
      <c r="E16" s="7">
        <v>99.5</v>
      </c>
      <c r="F16" s="17">
        <f>C16+D16+E16</f>
        <v>370.5</v>
      </c>
      <c r="G16" s="42">
        <f t="shared" si="0"/>
        <v>1064.6951347681</v>
      </c>
      <c r="H16" s="18">
        <f t="shared" si="4"/>
        <v>29.553447140699745</v>
      </c>
      <c r="I16" s="21">
        <f>SUM(H16/8)</f>
        <v>3.694180892587468</v>
      </c>
      <c r="J16" s="29">
        <f t="shared" si="5"/>
        <v>1171.16464824491</v>
      </c>
      <c r="K16" s="32">
        <f t="shared" si="6"/>
        <v>4.063598981846216</v>
      </c>
      <c r="L16" s="30">
        <f t="shared" si="7"/>
        <v>1224.3994049833148</v>
      </c>
      <c r="M16" s="33">
        <f t="shared" si="8"/>
        <v>4.248308026475588</v>
      </c>
      <c r="N16" s="35">
        <f t="shared" si="9"/>
        <v>1153.4197293321083</v>
      </c>
    </row>
    <row r="17" spans="1:14" ht="15.75">
      <c r="A17" s="15">
        <f t="shared" si="2"/>
        <v>86</v>
      </c>
      <c r="B17" s="16">
        <f t="shared" si="3"/>
        <v>38985</v>
      </c>
      <c r="C17" s="22">
        <v>170</v>
      </c>
      <c r="D17" s="22">
        <v>103</v>
      </c>
      <c r="E17" s="22">
        <v>100</v>
      </c>
      <c r="F17" s="17">
        <f>C17+D17+E17</f>
        <v>373</v>
      </c>
      <c r="G17" s="43">
        <f t="shared" si="0"/>
        <v>1086.1529929546</v>
      </c>
      <c r="H17" s="18">
        <f t="shared" si="4"/>
        <v>21.45785818650006</v>
      </c>
      <c r="I17" s="21">
        <f t="shared" si="1"/>
        <v>3.065408312357152</v>
      </c>
      <c r="J17" s="29">
        <f t="shared" si="5"/>
        <v>1194.76829225006</v>
      </c>
      <c r="K17" s="32">
        <f t="shared" si="6"/>
        <v>3.3719491435928672</v>
      </c>
      <c r="L17" s="30">
        <f t="shared" si="7"/>
        <v>1249.0759418977898</v>
      </c>
      <c r="M17" s="33">
        <f t="shared" si="8"/>
        <v>3.5252195592107243</v>
      </c>
      <c r="N17" s="35">
        <f t="shared" si="9"/>
        <v>1176.6657423674833</v>
      </c>
    </row>
    <row r="18" spans="1:14" ht="15.75">
      <c r="A18" s="15">
        <f>A17+12</f>
        <v>98</v>
      </c>
      <c r="B18" s="16">
        <f>SUM(B17+12)</f>
        <v>38997</v>
      </c>
      <c r="C18" s="22">
        <v>170</v>
      </c>
      <c r="D18" s="22">
        <v>103</v>
      </c>
      <c r="E18" s="44">
        <v>100</v>
      </c>
      <c r="F18" s="17">
        <f>C18+D18+E18</f>
        <v>373</v>
      </c>
      <c r="G18" s="43">
        <f t="shared" si="0"/>
        <v>1086.1529929546</v>
      </c>
      <c r="H18" s="18">
        <f t="shared" si="4"/>
        <v>0</v>
      </c>
      <c r="I18" s="21">
        <f>SUM(H18/12)</f>
        <v>0</v>
      </c>
      <c r="J18" s="35">
        <f t="shared" si="5"/>
        <v>1194.76829225006</v>
      </c>
      <c r="K18" s="33">
        <f t="shared" si="6"/>
        <v>0</v>
      </c>
      <c r="L18" s="35">
        <f t="shared" si="7"/>
        <v>1249.0759418977898</v>
      </c>
      <c r="M18" s="33">
        <f t="shared" si="8"/>
        <v>0</v>
      </c>
      <c r="N18" s="35">
        <f t="shared" si="9"/>
        <v>1176.6657423674833</v>
      </c>
    </row>
    <row r="19" spans="3:9" ht="16.5" thickBot="1">
      <c r="C19" s="23"/>
      <c r="D19" s="23"/>
      <c r="E19" s="78" t="s">
        <v>19</v>
      </c>
      <c r="F19" s="79"/>
      <c r="G19" s="24">
        <v>1086.5</v>
      </c>
      <c r="H19" s="25"/>
      <c r="I19" s="23"/>
    </row>
    <row r="20" spans="1:9" ht="15.75">
      <c r="A20" s="69"/>
      <c r="B20" s="69"/>
      <c r="C20" s="69"/>
      <c r="D20" s="69"/>
      <c r="E20" s="69"/>
      <c r="F20" s="69"/>
      <c r="G20" s="69"/>
      <c r="H20" s="69"/>
      <c r="I20" s="69"/>
    </row>
  </sheetData>
  <mergeCells count="7">
    <mergeCell ref="A20:I20"/>
    <mergeCell ref="A1:I1"/>
    <mergeCell ref="A2:I2"/>
    <mergeCell ref="E4:F4"/>
    <mergeCell ref="G4:I4"/>
    <mergeCell ref="E6:H6"/>
    <mergeCell ref="E19:F19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2">
      <selection activeCell="B20" sqref="B20"/>
    </sheetView>
  </sheetViews>
  <sheetFormatPr defaultColWidth="11.00390625" defaultRowHeight="12.75"/>
  <cols>
    <col min="1" max="2" width="10.75390625" style="46" customWidth="1"/>
    <col min="3" max="3" width="12.625" style="46" bestFit="1" customWidth="1"/>
    <col min="4" max="4" width="10.75390625" style="46" customWidth="1"/>
    <col min="5" max="9" width="12.875" style="46" customWidth="1"/>
    <col min="10" max="16384" width="10.75390625" style="46" customWidth="1"/>
  </cols>
  <sheetData>
    <row r="1" spans="1:10" ht="2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45"/>
    </row>
    <row r="2" spans="1:10" ht="2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45"/>
    </row>
    <row r="3" spans="1:10" ht="15">
      <c r="A3" s="47"/>
      <c r="B3" s="48" t="s">
        <v>2</v>
      </c>
      <c r="C3" s="67">
        <v>1381.5</v>
      </c>
      <c r="D3" s="48"/>
      <c r="E3" s="48"/>
      <c r="F3" s="48"/>
      <c r="G3" s="48"/>
      <c r="H3" s="48"/>
      <c r="I3" s="48"/>
      <c r="J3" s="45"/>
    </row>
    <row r="4" spans="1:10" ht="15.75">
      <c r="A4" s="47"/>
      <c r="B4" s="49" t="s">
        <v>8</v>
      </c>
      <c r="C4" s="50">
        <v>1662.5</v>
      </c>
      <c r="D4" s="48"/>
      <c r="E4" s="82" t="s">
        <v>4</v>
      </c>
      <c r="F4" s="82"/>
      <c r="G4" s="83" t="s">
        <v>3</v>
      </c>
      <c r="H4" s="84"/>
      <c r="I4" s="85"/>
      <c r="J4" s="45"/>
    </row>
    <row r="5" spans="1:10" ht="15">
      <c r="A5" s="47"/>
      <c r="B5" s="49" t="s">
        <v>9</v>
      </c>
      <c r="C5" s="51">
        <v>39263</v>
      </c>
      <c r="D5" s="48"/>
      <c r="E5" s="47"/>
      <c r="F5" s="47"/>
      <c r="G5" s="47"/>
      <c r="H5" s="47"/>
      <c r="I5" s="48"/>
      <c r="J5" s="45"/>
    </row>
    <row r="6" spans="1:10" ht="15">
      <c r="A6" s="47"/>
      <c r="B6" s="49" t="s">
        <v>10</v>
      </c>
      <c r="C6" s="50">
        <v>5</v>
      </c>
      <c r="D6" s="48"/>
      <c r="E6" s="86"/>
      <c r="F6" s="86"/>
      <c r="G6" s="86"/>
      <c r="H6" s="86"/>
      <c r="I6" s="48"/>
      <c r="J6" s="45"/>
    </row>
    <row r="7" spans="1:10" ht="15">
      <c r="A7" s="47"/>
      <c r="B7" s="49" t="s">
        <v>11</v>
      </c>
      <c r="C7" s="50" t="s">
        <v>29</v>
      </c>
      <c r="D7" s="48"/>
      <c r="E7" s="48"/>
      <c r="F7" s="48"/>
      <c r="G7" s="48"/>
      <c r="H7" s="48"/>
      <c r="I7" s="48"/>
      <c r="J7" s="45"/>
    </row>
    <row r="8" spans="1:10" ht="15">
      <c r="A8" s="47"/>
      <c r="B8" s="49"/>
      <c r="C8" s="50"/>
      <c r="D8" s="48"/>
      <c r="E8" s="48"/>
      <c r="F8" s="48"/>
      <c r="G8" s="48"/>
      <c r="H8" s="48"/>
      <c r="I8" s="48"/>
      <c r="J8" s="45"/>
    </row>
    <row r="9" spans="1:9" ht="15">
      <c r="A9" s="50" t="s">
        <v>12</v>
      </c>
      <c r="B9" s="50" t="s">
        <v>13</v>
      </c>
      <c r="C9" s="50" t="s">
        <v>14</v>
      </c>
      <c r="D9" s="50" t="s">
        <v>15</v>
      </c>
      <c r="E9" s="50" t="s">
        <v>22</v>
      </c>
      <c r="F9" s="50" t="s">
        <v>16</v>
      </c>
      <c r="G9" s="50" t="s">
        <v>17</v>
      </c>
      <c r="H9" s="50" t="s">
        <v>20</v>
      </c>
      <c r="I9" s="50" t="s">
        <v>18</v>
      </c>
    </row>
    <row r="10" spans="1:9" ht="15">
      <c r="A10" s="52">
        <v>29</v>
      </c>
      <c r="B10" s="53">
        <f>C5+29</f>
        <v>39292</v>
      </c>
      <c r="C10" s="52">
        <v>106</v>
      </c>
      <c r="D10" s="52">
        <v>64</v>
      </c>
      <c r="E10" s="52">
        <v>66</v>
      </c>
      <c r="F10" s="54">
        <f>C10+D10+E10</f>
        <v>236</v>
      </c>
      <c r="G10" s="55">
        <f>IF(SUM(-9.825656+(0.26066*F10))-(0.000932949*POWER(F10,2))+(0.0000217468*POWER(F10,3))&lt;0,0,SUM(-9.825656+(0.26066*F10))-(0.000932949*POWER(F10,2))+(0.0000217468*POWER(F10,3)))</f>
        <v>285.5740828768</v>
      </c>
      <c r="H10" s="56">
        <f>IF(SUM(G10-0)&lt;0,0,SUM(G10-0))</f>
        <v>285.5740828768</v>
      </c>
      <c r="I10" s="57">
        <f>SUM(H10/30)</f>
        <v>9.519136095893334</v>
      </c>
    </row>
    <row r="11" spans="1:9" ht="15">
      <c r="A11" s="58">
        <f>A10+7</f>
        <v>36</v>
      </c>
      <c r="B11" s="59">
        <f>SUM(B10+7)</f>
        <v>39299</v>
      </c>
      <c r="C11" s="58"/>
      <c r="D11" s="58"/>
      <c r="E11" s="58"/>
      <c r="F11" s="60">
        <f>C11+D11+E11</f>
        <v>0</v>
      </c>
      <c r="G11" s="61">
        <f>IF(SUM(-9.825656+(0.26066*F11))-(0.000932949*POWER(F11,2))+(0.0000217468*POWER(F11,3))&lt;0,0,SUM(-9.825656+(0.26066*F11))-(0.000932949*POWER(F11,2))+(0.0000217468*POWER(F11,3)))</f>
        <v>0</v>
      </c>
      <c r="H11" s="61">
        <f>IF(SUM(G11-G10)&lt;0,0,SUM(G11-G10))</f>
        <v>0</v>
      </c>
      <c r="I11" s="62">
        <f>SUM(H11/7)</f>
        <v>0</v>
      </c>
    </row>
    <row r="12" spans="1:9" ht="15">
      <c r="A12" s="58">
        <f>A11+7</f>
        <v>43</v>
      </c>
      <c r="B12" s="59">
        <f>SUM(B11+7)</f>
        <v>39306</v>
      </c>
      <c r="C12" s="68"/>
      <c r="D12" s="68"/>
      <c r="E12" s="68"/>
      <c r="F12" s="60">
        <f>C12+D12+E12</f>
        <v>0</v>
      </c>
      <c r="G12" s="61">
        <f>IF(SUM(-9.825656+(0.26066*F12))-(0.000932949*POWER(F12,2))+(0.0000217468*POWER(F12,3))&lt;0,0,SUM(-9.825656+(0.26066*F12))-(0.000932949*POWER(F12,2))+(0.0000217468*POWER(F12,3)))</f>
        <v>0</v>
      </c>
      <c r="H12" s="61">
        <f>IF(SUM(G12-G11)&lt;0,0,SUM(G12-G11))</f>
        <v>0</v>
      </c>
      <c r="I12" s="63">
        <f>SUM(H12/7)</f>
        <v>0</v>
      </c>
    </row>
    <row r="13" spans="1:9" ht="15">
      <c r="A13" s="58">
        <f>A12+38</f>
        <v>81</v>
      </c>
      <c r="B13" s="59">
        <f>SUM(B12+38)</f>
        <v>39344</v>
      </c>
      <c r="C13" s="50"/>
      <c r="D13" s="50"/>
      <c r="E13" s="50"/>
      <c r="F13" s="60">
        <f>C13+D13+E13</f>
        <v>0</v>
      </c>
      <c r="G13" s="61">
        <f>IF(SUM(-9.825656+(0.26066*F13))-(0.000932949*POWER(F13,2))+(0.0000217468*POWER(F13,3))&lt;0,0,SUM(-9.825656+(0.26066*F13))-(0.000932949*POWER(F13,2))+(0.0000217468*POWER(F13,3)))</f>
        <v>0</v>
      </c>
      <c r="H13" s="61">
        <f>IF(SUM(G13-G12)&lt;0,0,SUM(G13-G12))</f>
        <v>0</v>
      </c>
      <c r="I13" s="63">
        <f>SUM(H13/38)</f>
        <v>0</v>
      </c>
    </row>
    <row r="14" spans="1:9" ht="15">
      <c r="A14" s="47"/>
      <c r="B14" s="47"/>
      <c r="C14" s="64"/>
      <c r="D14" s="64"/>
      <c r="E14" s="87" t="s">
        <v>19</v>
      </c>
      <c r="F14" s="87"/>
      <c r="G14" s="65"/>
      <c r="H14" s="66"/>
      <c r="I14" s="64"/>
    </row>
    <row r="15" spans="1:9" ht="21">
      <c r="A15" s="80"/>
      <c r="B15" s="80"/>
      <c r="C15" s="80"/>
      <c r="D15" s="80"/>
      <c r="E15" s="80"/>
      <c r="F15" s="80"/>
      <c r="G15" s="80"/>
      <c r="H15" s="80"/>
      <c r="I15" s="80"/>
    </row>
  </sheetData>
  <mergeCells count="7">
    <mergeCell ref="A15:I15"/>
    <mergeCell ref="A1:I1"/>
    <mergeCell ref="A2:I2"/>
    <mergeCell ref="E4:F4"/>
    <mergeCell ref="G4:I4"/>
    <mergeCell ref="E6:H6"/>
    <mergeCell ref="E14:F14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ANNEDAWN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LANGEVIN</dc:creator>
  <cp:keywords/>
  <dc:description/>
  <cp:lastModifiedBy>Don Langevin</cp:lastModifiedBy>
  <cp:lastPrinted>2010-10-01T15:59:46Z</cp:lastPrinted>
  <dcterms:created xsi:type="dcterms:W3CDTF">2005-07-14T23:28:41Z</dcterms:created>
  <dcterms:modified xsi:type="dcterms:W3CDTF">2011-08-04T10:48:24Z</dcterms:modified>
  <cp:category/>
  <cp:version/>
  <cp:contentType/>
  <cp:contentStatus/>
</cp:coreProperties>
</file>